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475"/>
  </bookViews>
  <sheets>
    <sheet name="总概算书" sheetId="1" r:id="rId1"/>
  </sheets>
  <externalReferences>
    <externalReference r:id="rId2"/>
    <externalReference r:id="rId3"/>
  </externalReferences>
  <definedNames>
    <definedName name="_xlnm.Print_Area" localSheetId="0">总概算书!$A$1:$K$61</definedName>
    <definedName name="_xlnm.Print_Titles" localSheetId="0">总概算书!$1:$3</definedName>
    <definedName name="白银哈铜23万吨">#REF!</definedName>
    <definedName name="赤峰">#REF!</definedName>
    <definedName name="赤峰云铜">#REF!</definedName>
    <definedName name="赤峰云铜1">#REF!</definedName>
    <definedName name="饿36">[1]综合概算!#REF!</definedName>
    <definedName name="易门铜业有限公司30Kt_a阳极铜冶炼工程总估算">#REF!</definedName>
  </definedNames>
  <calcPr calcId="144525"/>
</workbook>
</file>

<file path=xl/sharedStrings.xml><?xml version="1.0" encoding="utf-8"?>
<sst xmlns="http://schemas.openxmlformats.org/spreadsheetml/2006/main" count="102" uniqueCount="100">
  <si>
    <t>三明工业供水项目--总概算表</t>
  </si>
  <si>
    <t>序号</t>
  </si>
  <si>
    <t>工程和费用名称</t>
  </si>
  <si>
    <t>价           值              （万元）</t>
  </si>
  <si>
    <t>技经指标</t>
  </si>
  <si>
    <t>%</t>
  </si>
  <si>
    <t>建筑工程</t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</si>
  <si>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设备购置</t>
    </r>
  </si>
  <si>
    <t>安装工程</t>
  </si>
  <si>
    <t>其他费用</t>
  </si>
  <si>
    <t>总价值</t>
  </si>
  <si>
    <t>数量单位</t>
  </si>
  <si>
    <t>单位价值(元)</t>
  </si>
  <si>
    <t>Ⅰ</t>
  </si>
  <si>
    <t>工程费用</t>
  </si>
  <si>
    <t>一</t>
  </si>
  <si>
    <t>取水泵房</t>
  </si>
  <si>
    <t>二</t>
  </si>
  <si>
    <t>原水输水管</t>
  </si>
  <si>
    <t>三</t>
  </si>
  <si>
    <t>水厂</t>
  </si>
  <si>
    <t>总平面及运输设备</t>
  </si>
  <si>
    <t>折板絮凝平流沉淀池</t>
  </si>
  <si>
    <t>V型滤池</t>
  </si>
  <si>
    <t>清水池</t>
  </si>
  <si>
    <t>排水排泥池及自用水泵房</t>
  </si>
  <si>
    <t>污泥浓缩池</t>
  </si>
  <si>
    <t>储泥池及污泥脱水机房</t>
  </si>
  <si>
    <t>加矾加氯间</t>
  </si>
  <si>
    <t>维修间及仓库</t>
  </si>
  <si>
    <t>综合楼</t>
  </si>
  <si>
    <t>门卫</t>
  </si>
  <si>
    <t>电力设备及安装</t>
  </si>
  <si>
    <t xml:space="preserve"> </t>
  </si>
  <si>
    <t>自控与仪表设备及安装</t>
  </si>
  <si>
    <t>电信设备及安装</t>
  </si>
  <si>
    <t>四</t>
  </si>
  <si>
    <t>配水管网</t>
  </si>
  <si>
    <t>五</t>
  </si>
  <si>
    <t>进场道路</t>
  </si>
  <si>
    <t>六</t>
  </si>
  <si>
    <t>现状生活水厂技改及防雷</t>
  </si>
  <si>
    <t>七</t>
  </si>
  <si>
    <t>信息化管理系统建设</t>
  </si>
  <si>
    <t>Ⅰ工程费用合计</t>
  </si>
  <si>
    <t>Ⅱ</t>
  </si>
  <si>
    <t>工程建设其他费用</t>
  </si>
  <si>
    <t>建设单位管理费</t>
  </si>
  <si>
    <t>140+(投资额-10000)×1%</t>
  </si>
  <si>
    <t>建设工程监理费</t>
  </si>
  <si>
    <t>((393.4-218.6)/(20000-10000)×(工程费-10000）+218.6）×0.7</t>
  </si>
  <si>
    <t>工程勘察费</t>
  </si>
  <si>
    <t>工程费×0.8%</t>
  </si>
  <si>
    <t>工程设计费</t>
  </si>
  <si>
    <t>((566.8-304.8)/(20000-10000)×(工程费-10000）+304.8）×1.15</t>
  </si>
  <si>
    <t>预算编制费</t>
  </si>
  <si>
    <t>500×0.5%+500×0.46%+4000×0.42%+5000×0.4%+(工程费-10000)×0.38%</t>
  </si>
  <si>
    <t>施工图审查费</t>
  </si>
  <si>
    <t>100×0.17%+400×0.14%+500×0.11%+4000×0.08%+5000×0.06%+(工程费-10000)×0.03%</t>
  </si>
  <si>
    <t>施工图审查费(勘察审查费)</t>
  </si>
  <si>
    <t>按勘察费的3.5%</t>
  </si>
  <si>
    <t>联合试运转费1.0%</t>
  </si>
  <si>
    <t>设备费×1%</t>
  </si>
  <si>
    <t>生产准备费</t>
  </si>
  <si>
    <t>定员18×0.6×6×2000</t>
  </si>
  <si>
    <t>办公及生活家具购置费</t>
  </si>
  <si>
    <t>定员18×2000</t>
  </si>
  <si>
    <t>建设项目前期工作咨询费</t>
  </si>
  <si>
    <t>14.7万（水资源论证费和防洪影响评价报告）+13.48万（可研编制费）+1.78万（地形图测量费）+2.8万（招标代理费，含初步设计及后面的epc+o的招标）=32.76万。</t>
  </si>
  <si>
    <t>环境影响咨询服务费</t>
  </si>
  <si>
    <t>((18-7.5)/(20000-3000)×(投资额-3000)+7.5)</t>
  </si>
  <si>
    <t>劳动安全卫生评价费 0.3%</t>
  </si>
  <si>
    <t>工程费×0.3%</t>
  </si>
  <si>
    <t>场地准备费及临时设施费 0.5%</t>
  </si>
  <si>
    <t>工程费×0.5%</t>
  </si>
  <si>
    <t>工程保险费0.3%</t>
  </si>
  <si>
    <t>招标代理服务费</t>
  </si>
  <si>
    <t>100×1%+400×0.7%+500×0.55%+4000×0.35%+5000×0.2%+(工程费-10000)×0.05%</t>
  </si>
  <si>
    <t>工程造价咨询费</t>
  </si>
  <si>
    <t>(500×0.5%+500×0.46%+4000×0.42%+5000×0.4%+(工程费-10000）×0.38%)×1.2</t>
  </si>
  <si>
    <t>建设工程交易服务费</t>
  </si>
  <si>
    <t>25000×40%</t>
  </si>
  <si>
    <t>水土保持补偿费</t>
  </si>
  <si>
    <t>每平方米补偿一元</t>
  </si>
  <si>
    <t>21811.86平方米</t>
  </si>
  <si>
    <t>地下管线测量费</t>
  </si>
  <si>
    <t>1624元/km</t>
  </si>
  <si>
    <t>24.99km×0.1624</t>
  </si>
  <si>
    <t>勘察文件审查费</t>
  </si>
  <si>
    <t>Ⅱ其他费用合计</t>
  </si>
  <si>
    <t>Ⅰ＋Ⅱ合计</t>
  </si>
  <si>
    <t>Ⅲ</t>
  </si>
  <si>
    <t>预备费5%</t>
  </si>
  <si>
    <t>Ⅳ</t>
  </si>
  <si>
    <t>建设期贷款利息</t>
  </si>
  <si>
    <t>Ⅴ</t>
  </si>
  <si>
    <t>铺底流动资金</t>
  </si>
  <si>
    <t>Ⅵ</t>
  </si>
  <si>
    <t>项目报批总投资(Ⅰ＋Ⅱ+Ⅲ+Ⅳ+Ⅴ)</t>
  </si>
  <si>
    <t>占总投资比例(%)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</si>
</sst>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5">
    <font>
      <sz val="12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8"/>
      <name val="宋体"/>
      <charset val="134"/>
    </font>
    <font>
      <sz val="7"/>
      <name val="宋体"/>
      <charset val="134"/>
    </font>
    <font>
      <sz val="9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4"/>
      <name val="Times New Roman"/>
      <charset val="134"/>
    </font>
    <font>
      <sz val="14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72">
    <xf numFmtId="0" fontId="0" fillId="0" borderId="0" xfId="0"/>
    <xf numFmtId="0" fontId="0" fillId="0" borderId="0" xfId="0" applyFill="1"/>
    <xf numFmtId="49" fontId="0" fillId="0" borderId="0" xfId="0" applyNumberFormat="1"/>
    <xf numFmtId="0" fontId="0" fillId="0" borderId="0" xfId="0" applyAlignment="1"/>
    <xf numFmtId="176" fontId="0" fillId="0" borderId="0" xfId="0" applyNumberFormat="1"/>
    <xf numFmtId="0" fontId="0" fillId="0" borderId="0" xfId="0" applyAlignment="1">
      <alignment horizontal="left"/>
    </xf>
    <xf numFmtId="176" fontId="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textRotation="255"/>
    </xf>
    <xf numFmtId="176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2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/>
    <xf numFmtId="176" fontId="0" fillId="0" borderId="3" xfId="0" applyNumberFormat="1" applyBorder="1"/>
    <xf numFmtId="49" fontId="5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left" vertical="center"/>
    </xf>
    <xf numFmtId="2" fontId="5" fillId="0" borderId="6" xfId="0" applyNumberFormat="1" applyFont="1" applyFill="1" applyBorder="1" applyAlignment="1">
      <alignment horizontal="left" vertical="center"/>
    </xf>
    <xf numFmtId="2" fontId="5" fillId="0" borderId="7" xfId="0" applyNumberFormat="1" applyFont="1" applyFill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left" vertical="center"/>
    </xf>
    <xf numFmtId="2" fontId="8" fillId="0" borderId="7" xfId="0" applyNumberFormat="1" applyFont="1" applyFill="1" applyBorder="1" applyAlignment="1">
      <alignment horizontal="left" vertical="center"/>
    </xf>
    <xf numFmtId="2" fontId="9" fillId="0" borderId="4" xfId="0" applyNumberFormat="1" applyFont="1" applyFill="1" applyBorder="1" applyAlignment="1">
      <alignment horizontal="left" vertical="center"/>
    </xf>
    <xf numFmtId="2" fontId="9" fillId="0" borderId="6" xfId="0" applyNumberFormat="1" applyFont="1" applyFill="1" applyBorder="1" applyAlignment="1">
      <alignment horizontal="left" vertical="center"/>
    </xf>
    <xf numFmtId="2" fontId="9" fillId="0" borderId="7" xfId="0" applyNumberFormat="1" applyFont="1" applyFill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6" xfId="0" applyNumberFormat="1" applyFont="1" applyFill="1" applyBorder="1" applyAlignment="1">
      <alignment horizontal="left" vertical="center" wrapText="1"/>
    </xf>
    <xf numFmtId="2" fontId="10" fillId="0" borderId="7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/>
    </xf>
    <xf numFmtId="2" fontId="10" fillId="0" borderId="6" xfId="0" applyNumberFormat="1" applyFont="1" applyFill="1" applyBorder="1" applyAlignment="1">
      <alignment horizontal="left" vertical="center"/>
    </xf>
    <xf numFmtId="2" fontId="10" fillId="0" borderId="7" xfId="0" applyNumberFormat="1" applyFont="1" applyFill="1" applyBorder="1" applyAlignment="1">
      <alignment horizontal="left" vertical="center"/>
    </xf>
    <xf numFmtId="2" fontId="11" fillId="0" borderId="3" xfId="0" applyNumberFormat="1" applyFont="1" applyBorder="1" applyAlignment="1">
      <alignment horizontal="right" vertical="center"/>
    </xf>
    <xf numFmtId="2" fontId="11" fillId="0" borderId="7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right" vertical="center"/>
    </xf>
    <xf numFmtId="177" fontId="0" fillId="0" borderId="0" xfId="0" applyNumberFormat="1" applyFill="1"/>
    <xf numFmtId="2" fontId="0" fillId="0" borderId="0" xfId="0" applyNumberFormat="1" applyFill="1"/>
    <xf numFmtId="10" fontId="0" fillId="0" borderId="0" xfId="0" applyNumberFormat="1" applyFill="1"/>
    <xf numFmtId="10" fontId="0" fillId="0" borderId="0" xfId="0" applyNumberFormat="1" applyFont="1" applyFill="1"/>
    <xf numFmtId="2" fontId="0" fillId="0" borderId="0" xfId="0" applyNumberFormat="1"/>
    <xf numFmtId="9" fontId="0" fillId="0" borderId="0" xfId="0" applyNumberFormat="1"/>
    <xf numFmtId="0" fontId="13" fillId="0" borderId="0" xfId="0" applyFont="1" applyAlignment="1">
      <alignment horizontal="left" indent="2"/>
    </xf>
    <xf numFmtId="0" fontId="14" fillId="0" borderId="0" xfId="0" applyFo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276225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4694555" y="0"/>
          <a:ext cx="10477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276225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4694555" y="0"/>
          <a:ext cx="10477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27" name="Text Box 29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276225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4694555" y="0"/>
          <a:ext cx="10477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30" name="Text Box 32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31" name="Text Box 33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32" name="Text Box 44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33" name="Text Box 45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36" name="Text Box 48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37" name="Text Box 49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38" name="Text Box 50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39" name="Text Box 51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276225</xdr:rowOff>
    </xdr:to>
    <xdr:sp>
      <xdr:nvSpPr>
        <xdr:cNvPr id="40" name="Text Box 52"/>
        <xdr:cNvSpPr txBox="1">
          <a:spLocks noChangeArrowheads="1"/>
        </xdr:cNvSpPr>
      </xdr:nvSpPr>
      <xdr:spPr>
        <a:xfrm>
          <a:off x="4694555" y="0"/>
          <a:ext cx="10477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41" name="Text Box 53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42" name="Text Box 54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43" name="Text Box 55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44" name="Text Box 5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276225</xdr:rowOff>
    </xdr:to>
    <xdr:sp>
      <xdr:nvSpPr>
        <xdr:cNvPr id="45" name="Text Box 57"/>
        <xdr:cNvSpPr txBox="1">
          <a:spLocks noChangeArrowheads="1"/>
        </xdr:cNvSpPr>
      </xdr:nvSpPr>
      <xdr:spPr>
        <a:xfrm>
          <a:off x="4694555" y="0"/>
          <a:ext cx="10477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46" name="Text Box 58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47" name="Text Box 59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48" name="Text Box 60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49" name="Text Box 61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276225</xdr:rowOff>
    </xdr:to>
    <xdr:sp>
      <xdr:nvSpPr>
        <xdr:cNvPr id="50" name="Text Box 62"/>
        <xdr:cNvSpPr txBox="1">
          <a:spLocks noChangeArrowheads="1"/>
        </xdr:cNvSpPr>
      </xdr:nvSpPr>
      <xdr:spPr>
        <a:xfrm>
          <a:off x="4694555" y="0"/>
          <a:ext cx="10477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51" name="Text Box 63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52" name="Text Box 84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53" name="Text Box 85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54" name="Text Box 8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55" name="Text Box 87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56" name="Text Box 88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57" name="Text Box 89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58" name="Text Box 90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59" name="Text Box 91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276225</xdr:rowOff>
    </xdr:to>
    <xdr:sp>
      <xdr:nvSpPr>
        <xdr:cNvPr id="60" name="Text Box 92"/>
        <xdr:cNvSpPr txBox="1">
          <a:spLocks noChangeArrowheads="1"/>
        </xdr:cNvSpPr>
      </xdr:nvSpPr>
      <xdr:spPr>
        <a:xfrm>
          <a:off x="4694555" y="0"/>
          <a:ext cx="10477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61" name="Text Box 93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62" name="Text Box 94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247650</xdr:rowOff>
    </xdr:to>
    <xdr:sp>
      <xdr:nvSpPr>
        <xdr:cNvPr id="63" name="Text Box 95"/>
        <xdr:cNvSpPr txBox="1">
          <a:spLocks noChangeArrowheads="1"/>
        </xdr:cNvSpPr>
      </xdr:nvSpPr>
      <xdr:spPr>
        <a:xfrm>
          <a:off x="4694555" y="0"/>
          <a:ext cx="1047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64" name="Text Box 9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276225</xdr:rowOff>
    </xdr:to>
    <xdr:sp>
      <xdr:nvSpPr>
        <xdr:cNvPr id="65" name="Text Box 97"/>
        <xdr:cNvSpPr txBox="1">
          <a:spLocks noChangeArrowheads="1"/>
        </xdr:cNvSpPr>
      </xdr:nvSpPr>
      <xdr:spPr>
        <a:xfrm>
          <a:off x="4694555" y="0"/>
          <a:ext cx="10477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66" name="Text Box 98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67" name="Text Box 99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68" name="Text Box 100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69" name="Text Box 101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276225</xdr:rowOff>
    </xdr:to>
    <xdr:sp>
      <xdr:nvSpPr>
        <xdr:cNvPr id="70" name="Text Box 102"/>
        <xdr:cNvSpPr txBox="1">
          <a:spLocks noChangeArrowheads="1"/>
        </xdr:cNvSpPr>
      </xdr:nvSpPr>
      <xdr:spPr>
        <a:xfrm>
          <a:off x="4694555" y="0"/>
          <a:ext cx="104775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71" name="Text Box 103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72" name="Text Box 119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73" name="Text Box 120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74" name="Text Box 121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75" name="Text Box 122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76" name="Text Box 123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77" name="Text Box 124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78" name="Text Box 125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79" name="Text Box 12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80" name="Text Box 127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81" name="Text Box 128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82" name="Text Box 129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83" name="Text Box 130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84" name="Text Box 131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85" name="Text Box 132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86" name="Text Box 133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87" name="Text Box 134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88" name="Text Box 135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89" name="Text Box 13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90" name="Text Box 137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91" name="Text Box 138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92" name="Text Box 144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93" name="Text Box 145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94" name="Text Box 14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95" name="Text Box 147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96" name="Text Box 148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97" name="Text Box 149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98" name="Text Box 150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99" name="Text Box 151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100" name="Text Box 152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101" name="Text Box 153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102" name="Text Box 154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238125</xdr:rowOff>
    </xdr:to>
    <xdr:sp>
      <xdr:nvSpPr>
        <xdr:cNvPr id="103" name="Text Box 155"/>
        <xdr:cNvSpPr txBox="1">
          <a:spLocks noChangeArrowheads="1"/>
        </xdr:cNvSpPr>
      </xdr:nvSpPr>
      <xdr:spPr>
        <a:xfrm>
          <a:off x="4694555" y="0"/>
          <a:ext cx="104775" cy="23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104" name="Text Box 156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266700</xdr:rowOff>
    </xdr:to>
    <xdr:sp>
      <xdr:nvSpPr>
        <xdr:cNvPr id="105" name="Text Box 157"/>
        <xdr:cNvSpPr txBox="1">
          <a:spLocks noChangeArrowheads="1"/>
        </xdr:cNvSpPr>
      </xdr:nvSpPr>
      <xdr:spPr>
        <a:xfrm>
          <a:off x="4694555" y="0"/>
          <a:ext cx="104775" cy="266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104775</xdr:colOff>
      <xdr:row>0</xdr:row>
      <xdr:rowOff>257175</xdr:rowOff>
    </xdr:to>
    <xdr:sp>
      <xdr:nvSpPr>
        <xdr:cNvPr id="106" name="Text Box 158"/>
        <xdr:cNvSpPr txBox="1">
          <a:spLocks noChangeArrowheads="1"/>
        </xdr:cNvSpPr>
      </xdr:nvSpPr>
      <xdr:spPr>
        <a:xfrm>
          <a:off x="4694555" y="0"/>
          <a:ext cx="104775" cy="257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&#24037;&#20316;&#39033;&#30446;\2017&#24180;&#39033;&#30446;\7%20&#36196;&#23792;&#20113;&#38108;40&#19975;&#21544;&#38452;&#26497;&#38108;&#25644;&#36801;&#25193;&#24314;&#21021;&#35774;\&#36196;&#23792;&#20113;&#38108;&#21271;&#20140;&#23457;&#26597;&#20462;&#25913;&#65288;8.1&#65289;\&#36196;&#23792;&#20113;&#38108;40&#19975;&#21544;&#21021;&#35774;&#25237;&#36164;&#27010;&#31639;-2017.8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013;&#22269;&#29790;&#26519;\&#20013;&#22269;&#29790;&#26519;2023\3-&#19977;&#26126;&#32463;&#27982;&#24320;&#21457;&#21306;&#24037;&#19994;&#20379;&#27700;&#24037;&#31243;\2-&#26465;&#20214;\00&#21508;&#19987;&#19994;&#26465;&#20214;&#21450;&#22270;&#32440;\&#36896;&#20215;&#26465;&#20214;\&#20462;&#32534;\20231102&#65288;&#35843;&#25972;&#27893;&#25151;&#21450;&#26234;&#24935;&#27700;&#21153;&#65289;\&#19977;&#26126;&#27700;&#21378;2.5&#19975;&#21544;&#24037;&#31243;&#21021;&#35774;&#27010;&#31639;%20-%20&#23457;&#26597;&#21518;&#20462;&#25913;%2011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业主设备"/>
      <sheetName val="投资对比（与可研) (2)"/>
      <sheetName val="投资分析"/>
      <sheetName val="招标及节能费"/>
      <sheetName val="外汇"/>
      <sheetName val="主材价格"/>
      <sheetName val="总估算表 (可研投资)"/>
      <sheetName val="总概算表 (初稿)"/>
      <sheetName val="总概算表 (初稿1)"/>
      <sheetName val="Sheet1"/>
      <sheetName val="投资对比（与可研)"/>
      <sheetName val="总概算表"/>
      <sheetName val="总概算表(简洁)"/>
      <sheetName val="综合概算"/>
      <sheetName val="土建"/>
      <sheetName val="冶炼"/>
      <sheetName val="土建综合单价"/>
      <sheetName val="三材汇总"/>
      <sheetName val="给排水"/>
      <sheetName val="电力"/>
      <sheetName val="仪表 "/>
      <sheetName val="主要设备"/>
      <sheetName val="热工"/>
      <sheetName val="电信"/>
      <sheetName val="阳极泥"/>
      <sheetName val="收尘"/>
      <sheetName val="化验"/>
      <sheetName val="化工"/>
      <sheetName val="化工机械"/>
      <sheetName val="选矿 "/>
      <sheetName val="暖通"/>
      <sheetName val="机修"/>
      <sheetName val="水工"/>
      <sheetName val="地基处理"/>
      <sheetName val="总图"/>
      <sheetName val="总图设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概算书"/>
      <sheetName val="综合估算表"/>
      <sheetName val="总平面"/>
      <sheetName val="运输设备"/>
      <sheetName val="总平面管线"/>
      <sheetName val="取水泵房"/>
      <sheetName val="反应沉淀池"/>
      <sheetName val="滤池及反冲洗泵房"/>
      <sheetName val="清水池"/>
      <sheetName val="加氯及应急加药房"/>
      <sheetName val="排泥排水池及自用水泵房"/>
      <sheetName val="污泥浓缩池"/>
      <sheetName val="污泥脱水机房"/>
      <sheetName val="机修间及仓库"/>
      <sheetName val="条件"/>
      <sheetName val="送水泵房及变配电室"/>
      <sheetName val="加药间"/>
      <sheetName val="回收水池"/>
      <sheetName val="加压泵站1#"/>
      <sheetName val="加压泵站2#"/>
      <sheetName val="化验"/>
      <sheetName val="机修"/>
      <sheetName val="泵站电力"/>
      <sheetName val="配电系统"/>
      <sheetName val="仪表"/>
      <sheetName val="电信"/>
      <sheetName val="智慧水务"/>
    </sheetNames>
    <sheetDataSet>
      <sheetData sheetId="0"/>
      <sheetData sheetId="1">
        <row r="4">
          <cell r="D4">
            <v>402.21</v>
          </cell>
          <cell r="E4">
            <v>117.74</v>
          </cell>
          <cell r="F4">
            <v>58.22</v>
          </cell>
        </row>
        <row r="13">
          <cell r="F13">
            <v>1694.13</v>
          </cell>
        </row>
        <row r="17">
          <cell r="D17">
            <v>1210.1</v>
          </cell>
          <cell r="E17">
            <v>184.18</v>
          </cell>
          <cell r="F17">
            <v>244.72</v>
          </cell>
        </row>
        <row r="31">
          <cell r="D31">
            <v>420.81</v>
          </cell>
          <cell r="E31">
            <v>317.66</v>
          </cell>
          <cell r="F31">
            <v>152.3</v>
          </cell>
        </row>
        <row r="36">
          <cell r="D36">
            <v>362.66</v>
          </cell>
          <cell r="E36">
            <v>178.62</v>
          </cell>
          <cell r="F36">
            <v>184.81</v>
          </cell>
        </row>
        <row r="42">
          <cell r="D42">
            <v>331.77</v>
          </cell>
          <cell r="E42">
            <v>10.17</v>
          </cell>
          <cell r="F42">
            <v>8.62</v>
          </cell>
        </row>
        <row r="47">
          <cell r="D47">
            <v>241.63</v>
          </cell>
          <cell r="E47">
            <v>84.58</v>
          </cell>
          <cell r="F47">
            <v>29.26</v>
          </cell>
        </row>
        <row r="53">
          <cell r="D53">
            <v>96.02</v>
          </cell>
          <cell r="E53">
            <v>97.15</v>
          </cell>
          <cell r="F53">
            <v>21.4</v>
          </cell>
        </row>
        <row r="58">
          <cell r="D58">
            <v>80.27</v>
          </cell>
          <cell r="E58">
            <v>283.85</v>
          </cell>
          <cell r="F58">
            <v>35.63</v>
          </cell>
        </row>
        <row r="64">
          <cell r="D64">
            <v>145.95</v>
          </cell>
          <cell r="E64">
            <v>189.39</v>
          </cell>
          <cell r="F64">
            <v>55.89</v>
          </cell>
        </row>
        <row r="70">
          <cell r="D70">
            <v>60.5</v>
          </cell>
          <cell r="E70">
            <v>9.62</v>
          </cell>
          <cell r="F70">
            <v>5.48</v>
          </cell>
        </row>
        <row r="76">
          <cell r="D76">
            <v>289.98</v>
          </cell>
          <cell r="E76">
            <v>258.05</v>
          </cell>
          <cell r="F76">
            <v>22.31</v>
          </cell>
        </row>
        <row r="82">
          <cell r="D82">
            <v>7.59</v>
          </cell>
          <cell r="E82">
            <v>0</v>
          </cell>
          <cell r="F82">
            <v>0.23</v>
          </cell>
        </row>
        <row r="87">
          <cell r="E87">
            <v>518.3</v>
          </cell>
          <cell r="F87">
            <v>177.27</v>
          </cell>
        </row>
        <row r="89">
          <cell r="E89">
            <v>391.38</v>
          </cell>
          <cell r="F89">
            <v>114.0228</v>
          </cell>
        </row>
        <row r="91">
          <cell r="E91">
            <v>54.4</v>
          </cell>
          <cell r="F91">
            <v>17.18</v>
          </cell>
        </row>
        <row r="93">
          <cell r="F93">
            <v>4470.01</v>
          </cell>
        </row>
        <row r="95">
          <cell r="D95">
            <v>99.4</v>
          </cell>
        </row>
        <row r="97">
          <cell r="D97">
            <v>63</v>
          </cell>
          <cell r="E97">
            <v>134.33</v>
          </cell>
        </row>
        <row r="101">
          <cell r="E101">
            <v>280.2009</v>
          </cell>
          <cell r="F101">
            <v>134.4244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N68"/>
  <sheetViews>
    <sheetView showZeros="0" tabSelected="1" workbookViewId="0">
      <pane ySplit="3" topLeftCell="A4" activePane="bottomLeft" state="frozen"/>
      <selection/>
      <selection pane="bottomLeft" activeCell="M51" sqref="M51"/>
    </sheetView>
  </sheetViews>
  <sheetFormatPr defaultColWidth="9" defaultRowHeight="14.25"/>
  <cols>
    <col min="1" max="1" width="2.75" style="2" customWidth="1"/>
    <col min="2" max="2" width="25.45" customWidth="1"/>
    <col min="3" max="3" width="16.25" customWidth="1"/>
    <col min="4" max="4" width="17.1583333333333" customWidth="1"/>
    <col min="5" max="5" width="16.925" customWidth="1"/>
    <col min="6" max="6" width="11.7" style="3" customWidth="1"/>
    <col min="7" max="7" width="12.275" style="4" customWidth="1"/>
    <col min="8" max="8" width="7.26666666666667" style="4" customWidth="1"/>
    <col min="9" max="9" width="3.525" customWidth="1"/>
    <col min="10" max="10" width="8.125" style="5" customWidth="1"/>
    <col min="11" max="11" width="9.375" style="5" customWidth="1"/>
    <col min="12" max="12" width="11.875" customWidth="1"/>
    <col min="13" max="13" width="11.625" customWidth="1"/>
  </cols>
  <sheetData>
    <row r="1" ht="47.2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0.25" customHeight="1" spans="1:11">
      <c r="A2" s="7" t="s">
        <v>1</v>
      </c>
      <c r="B2" s="8" t="s">
        <v>2</v>
      </c>
      <c r="C2" s="9" t="s">
        <v>3</v>
      </c>
      <c r="D2" s="9"/>
      <c r="E2" s="9"/>
      <c r="F2" s="9"/>
      <c r="G2" s="9"/>
      <c r="H2" s="10" t="s">
        <v>4</v>
      </c>
      <c r="I2" s="51"/>
      <c r="J2" s="52"/>
      <c r="K2" s="53" t="s">
        <v>5</v>
      </c>
    </row>
    <row r="3" ht="25.5" customHeight="1" spans="1:11">
      <c r="A3" s="11"/>
      <c r="B3" s="12"/>
      <c r="C3" s="13" t="s">
        <v>6</v>
      </c>
      <c r="D3" s="14" t="s">
        <v>7</v>
      </c>
      <c r="E3" s="15" t="s">
        <v>8</v>
      </c>
      <c r="F3" s="15" t="s">
        <v>9</v>
      </c>
      <c r="G3" s="15" t="s">
        <v>10</v>
      </c>
      <c r="H3" s="16" t="s">
        <v>11</v>
      </c>
      <c r="I3" s="54"/>
      <c r="J3" s="55" t="s">
        <v>12</v>
      </c>
      <c r="K3" s="56"/>
    </row>
    <row r="4" ht="17.1" customHeight="1" spans="1:11">
      <c r="A4" s="17" t="s">
        <v>13</v>
      </c>
      <c r="B4" s="18" t="s">
        <v>14</v>
      </c>
      <c r="C4" s="19"/>
      <c r="D4" s="19"/>
      <c r="E4" s="19"/>
      <c r="F4" s="19"/>
      <c r="G4" s="20"/>
      <c r="H4" s="20"/>
      <c r="I4" s="57"/>
      <c r="J4" s="58"/>
      <c r="K4" s="58"/>
    </row>
    <row r="5" ht="17.1" customHeight="1" spans="1:11">
      <c r="A5" s="17" t="s">
        <v>15</v>
      </c>
      <c r="B5" s="18" t="s">
        <v>16</v>
      </c>
      <c r="C5" s="19">
        <f>[2]综合估算表!D4</f>
        <v>402.21</v>
      </c>
      <c r="D5" s="19">
        <f>[2]综合估算表!E4</f>
        <v>117.74</v>
      </c>
      <c r="E5" s="19">
        <f>[2]综合估算表!F4</f>
        <v>58.22</v>
      </c>
      <c r="F5" s="19"/>
      <c r="G5" s="20">
        <f t="shared" ref="G5:G10" si="0">SUM(C5:F5)</f>
        <v>578.17</v>
      </c>
      <c r="H5" s="20"/>
      <c r="I5" s="57"/>
      <c r="J5" s="58"/>
      <c r="K5" s="58"/>
    </row>
    <row r="6" ht="17.1" customHeight="1" spans="1:11">
      <c r="A6" s="17" t="s">
        <v>17</v>
      </c>
      <c r="B6" s="18" t="s">
        <v>18</v>
      </c>
      <c r="C6" s="21">
        <f>ROUND([2]综合估算表!D13,2)</f>
        <v>0</v>
      </c>
      <c r="D6" s="21">
        <f>ROUND([2]综合估算表!E13,2)</f>
        <v>0</v>
      </c>
      <c r="E6" s="21">
        <f>ROUND([2]综合估算表!F13,2)</f>
        <v>1694.13</v>
      </c>
      <c r="F6" s="21"/>
      <c r="G6" s="21">
        <f>ROUND(SUM(C6:F6),2)</f>
        <v>1694.13</v>
      </c>
      <c r="H6" s="21"/>
      <c r="I6" s="57"/>
      <c r="J6" s="58"/>
      <c r="K6" s="58"/>
    </row>
    <row r="7" ht="17.1" customHeight="1" spans="1:11">
      <c r="A7" s="17" t="s">
        <v>19</v>
      </c>
      <c r="B7" s="18" t="s">
        <v>20</v>
      </c>
      <c r="C7" s="21">
        <f t="shared" ref="C7:G7" si="1">SUBTOTAL(9,C8:C21)</f>
        <v>3247.28</v>
      </c>
      <c r="D7" s="21">
        <f t="shared" si="1"/>
        <v>2577.35</v>
      </c>
      <c r="E7" s="21">
        <f t="shared" si="1"/>
        <v>1069.12</v>
      </c>
      <c r="F7" s="21">
        <f t="shared" si="1"/>
        <v>0</v>
      </c>
      <c r="G7" s="21">
        <f t="shared" si="1"/>
        <v>6893.75</v>
      </c>
      <c r="H7" s="21"/>
      <c r="I7" s="57"/>
      <c r="J7" s="58"/>
      <c r="K7" s="58"/>
    </row>
    <row r="8" ht="17.1" customHeight="1" spans="1:11">
      <c r="A8" s="22">
        <v>1</v>
      </c>
      <c r="B8" s="19" t="s">
        <v>21</v>
      </c>
      <c r="C8" s="21">
        <f>ROUND([2]综合估算表!D17,2)</f>
        <v>1210.1</v>
      </c>
      <c r="D8" s="21">
        <f>ROUND([2]综合估算表!E17,2)</f>
        <v>184.18</v>
      </c>
      <c r="E8" s="21">
        <f>ROUND([2]综合估算表!F17,2)</f>
        <v>244.72</v>
      </c>
      <c r="F8" s="21"/>
      <c r="G8" s="23">
        <f t="shared" si="0"/>
        <v>1639</v>
      </c>
      <c r="H8" s="23"/>
      <c r="I8" s="57"/>
      <c r="J8" s="58"/>
      <c r="K8" s="58"/>
    </row>
    <row r="9" ht="17.1" customHeight="1" spans="1:11">
      <c r="A9" s="22">
        <v>2</v>
      </c>
      <c r="B9" s="19" t="s">
        <v>22</v>
      </c>
      <c r="C9" s="21">
        <f>ROUND([2]综合估算表!D31,2)</f>
        <v>420.81</v>
      </c>
      <c r="D9" s="21">
        <f>ROUND([2]综合估算表!E31,2)</f>
        <v>317.66</v>
      </c>
      <c r="E9" s="21">
        <f>ROUND([2]综合估算表!F31,2)</f>
        <v>152.3</v>
      </c>
      <c r="F9" s="19"/>
      <c r="G9" s="23">
        <f t="shared" si="0"/>
        <v>890.77</v>
      </c>
      <c r="H9" s="23"/>
      <c r="I9" s="19"/>
      <c r="J9" s="59"/>
      <c r="K9" s="59"/>
    </row>
    <row r="10" ht="17.1" customHeight="1" spans="1:11">
      <c r="A10" s="22">
        <v>3</v>
      </c>
      <c r="B10" s="19" t="s">
        <v>23</v>
      </c>
      <c r="C10" s="21">
        <f>ROUND([2]综合估算表!D36,2)</f>
        <v>362.66</v>
      </c>
      <c r="D10" s="21">
        <f>ROUND([2]综合估算表!E36,2)</f>
        <v>178.62</v>
      </c>
      <c r="E10" s="21">
        <f>ROUND([2]综合估算表!F36,2)</f>
        <v>184.81</v>
      </c>
      <c r="F10" s="19"/>
      <c r="G10" s="23">
        <f t="shared" si="0"/>
        <v>726.09</v>
      </c>
      <c r="H10" s="23"/>
      <c r="I10" s="19"/>
      <c r="J10" s="59"/>
      <c r="K10" s="59"/>
    </row>
    <row r="11" ht="17.1" customHeight="1" spans="1:11">
      <c r="A11" s="22">
        <v>4</v>
      </c>
      <c r="B11" s="19" t="s">
        <v>24</v>
      </c>
      <c r="C11" s="21">
        <f>ROUND([2]综合估算表!D42,2)</f>
        <v>331.77</v>
      </c>
      <c r="D11" s="21">
        <f>ROUND([2]综合估算表!E42,2)</f>
        <v>10.17</v>
      </c>
      <c r="E11" s="21">
        <f>ROUND([2]综合估算表!F42,2)</f>
        <v>8.62</v>
      </c>
      <c r="F11" s="19"/>
      <c r="G11" s="21">
        <f t="shared" ref="G11:G25" si="2">ROUND(SUM(C11:F11),2)</f>
        <v>350.56</v>
      </c>
      <c r="H11" s="21"/>
      <c r="I11" s="19"/>
      <c r="J11" s="59"/>
      <c r="K11" s="59"/>
    </row>
    <row r="12" ht="17.1" customHeight="1" spans="1:11">
      <c r="A12" s="22">
        <v>5</v>
      </c>
      <c r="B12" s="19" t="s">
        <v>25</v>
      </c>
      <c r="C12" s="21">
        <f>ROUND([2]综合估算表!D47,2)</f>
        <v>241.63</v>
      </c>
      <c r="D12" s="21">
        <f>ROUND([2]综合估算表!E47,2)</f>
        <v>84.58</v>
      </c>
      <c r="E12" s="21">
        <f>ROUND([2]综合估算表!F47,2)</f>
        <v>29.26</v>
      </c>
      <c r="F12" s="19"/>
      <c r="G12" s="21">
        <f t="shared" si="2"/>
        <v>355.47</v>
      </c>
      <c r="H12" s="21"/>
      <c r="I12" s="19"/>
      <c r="J12" s="59"/>
      <c r="K12" s="31"/>
    </row>
    <row r="13" ht="17.1" customHeight="1" spans="1:11">
      <c r="A13" s="22">
        <v>6</v>
      </c>
      <c r="B13" s="19" t="s">
        <v>26</v>
      </c>
      <c r="C13" s="21">
        <f>[2]综合估算表!D53</f>
        <v>96.02</v>
      </c>
      <c r="D13" s="21">
        <f>[2]综合估算表!E53</f>
        <v>97.15</v>
      </c>
      <c r="E13" s="21">
        <f>[2]综合估算表!F53</f>
        <v>21.4</v>
      </c>
      <c r="F13" s="19"/>
      <c r="G13" s="21">
        <f t="shared" si="2"/>
        <v>214.57</v>
      </c>
      <c r="H13" s="21"/>
      <c r="I13" s="19"/>
      <c r="J13" s="59"/>
      <c r="K13" s="31"/>
    </row>
    <row r="14" ht="17.1" customHeight="1" spans="1:11">
      <c r="A14" s="22">
        <v>7</v>
      </c>
      <c r="B14" s="19" t="s">
        <v>27</v>
      </c>
      <c r="C14" s="21">
        <f>[2]综合估算表!D58</f>
        <v>80.27</v>
      </c>
      <c r="D14" s="21">
        <f>[2]综合估算表!E58</f>
        <v>283.85</v>
      </c>
      <c r="E14" s="21">
        <f>[2]综合估算表!F58</f>
        <v>35.63</v>
      </c>
      <c r="F14" s="19"/>
      <c r="G14" s="21">
        <f t="shared" si="2"/>
        <v>399.75</v>
      </c>
      <c r="H14" s="21"/>
      <c r="I14" s="19"/>
      <c r="J14" s="59"/>
      <c r="K14" s="31"/>
    </row>
    <row r="15" ht="17.1" customHeight="1" spans="1:11">
      <c r="A15" s="22">
        <v>8</v>
      </c>
      <c r="B15" s="19" t="s">
        <v>28</v>
      </c>
      <c r="C15" s="21">
        <f>[2]综合估算表!D64</f>
        <v>145.95</v>
      </c>
      <c r="D15" s="21">
        <f>[2]综合估算表!E64</f>
        <v>189.39</v>
      </c>
      <c r="E15" s="21">
        <f>[2]综合估算表!F64</f>
        <v>55.89</v>
      </c>
      <c r="F15" s="19"/>
      <c r="G15" s="21">
        <f t="shared" si="2"/>
        <v>391.23</v>
      </c>
      <c r="H15" s="21"/>
      <c r="I15" s="19"/>
      <c r="J15" s="59"/>
      <c r="K15" s="31"/>
    </row>
    <row r="16" ht="17.1" customHeight="1" spans="1:11">
      <c r="A16" s="22">
        <v>9</v>
      </c>
      <c r="B16" s="19" t="s">
        <v>29</v>
      </c>
      <c r="C16" s="21">
        <f>[2]综合估算表!D70</f>
        <v>60.5</v>
      </c>
      <c r="D16" s="21">
        <f>[2]综合估算表!E70</f>
        <v>9.62</v>
      </c>
      <c r="E16" s="21">
        <f>[2]综合估算表!F70</f>
        <v>5.48</v>
      </c>
      <c r="F16" s="19"/>
      <c r="G16" s="21">
        <f t="shared" si="2"/>
        <v>75.6</v>
      </c>
      <c r="H16" s="21"/>
      <c r="I16" s="19"/>
      <c r="J16" s="59"/>
      <c r="K16" s="31"/>
    </row>
    <row r="17" ht="18" customHeight="1" spans="1:11">
      <c r="A17" s="22">
        <v>10</v>
      </c>
      <c r="B17" s="24" t="s">
        <v>30</v>
      </c>
      <c r="C17" s="21">
        <f>ROUND([2]综合估算表!D76,2)</f>
        <v>289.98</v>
      </c>
      <c r="D17" s="21">
        <f>ROUND([2]综合估算表!E76,2)</f>
        <v>258.05</v>
      </c>
      <c r="E17" s="21">
        <f>ROUND([2]综合估算表!F76,2)</f>
        <v>22.31</v>
      </c>
      <c r="F17" s="19"/>
      <c r="G17" s="21">
        <f t="shared" si="2"/>
        <v>570.34</v>
      </c>
      <c r="H17" s="21"/>
      <c r="I17" s="19"/>
      <c r="J17" s="59"/>
      <c r="K17" s="31"/>
    </row>
    <row r="18" ht="17.1" customHeight="1" spans="1:11">
      <c r="A18" s="22">
        <v>11</v>
      </c>
      <c r="B18" s="19" t="s">
        <v>31</v>
      </c>
      <c r="C18" s="21">
        <f>ROUND([2]综合估算表!D82,2)</f>
        <v>7.59</v>
      </c>
      <c r="D18" s="21">
        <f>ROUND([2]综合估算表!E82,2)</f>
        <v>0</v>
      </c>
      <c r="E18" s="21">
        <f>ROUND([2]综合估算表!F82,2)</f>
        <v>0.23</v>
      </c>
      <c r="F18" s="19"/>
      <c r="G18" s="21">
        <f t="shared" si="2"/>
        <v>7.82</v>
      </c>
      <c r="H18" s="21"/>
      <c r="I18" s="19"/>
      <c r="J18" s="59"/>
      <c r="K18" s="31"/>
    </row>
    <row r="19" ht="17.1" customHeight="1" spans="1:11">
      <c r="A19" s="22">
        <v>12</v>
      </c>
      <c r="B19" s="19" t="s">
        <v>32</v>
      </c>
      <c r="C19" s="21">
        <f>ROUND([2]综合估算表!D87,2)</f>
        <v>0</v>
      </c>
      <c r="D19" s="21">
        <f>ROUND([2]综合估算表!E87,2)</f>
        <v>518.3</v>
      </c>
      <c r="E19" s="21">
        <f>ROUND([2]综合估算表!F87,2)</f>
        <v>177.27</v>
      </c>
      <c r="F19" s="19"/>
      <c r="G19" s="21">
        <f t="shared" si="2"/>
        <v>695.57</v>
      </c>
      <c r="H19" s="21"/>
      <c r="I19" s="60" t="s">
        <v>33</v>
      </c>
      <c r="J19" s="59"/>
      <c r="K19" s="31"/>
    </row>
    <row r="20" ht="17.1" customHeight="1" spans="1:11">
      <c r="A20" s="22">
        <v>13</v>
      </c>
      <c r="B20" s="19" t="s">
        <v>34</v>
      </c>
      <c r="C20" s="21">
        <f>ROUND([2]综合估算表!D89,2)</f>
        <v>0</v>
      </c>
      <c r="D20" s="21">
        <f>ROUND([2]综合估算表!E89,2)</f>
        <v>391.38</v>
      </c>
      <c r="E20" s="21">
        <f>ROUND([2]综合估算表!F89,2)</f>
        <v>114.02</v>
      </c>
      <c r="F20" s="19"/>
      <c r="G20" s="21">
        <f t="shared" si="2"/>
        <v>505.4</v>
      </c>
      <c r="H20" s="21"/>
      <c r="I20" s="19"/>
      <c r="J20" s="59"/>
      <c r="K20" s="31"/>
    </row>
    <row r="21" ht="17.1" customHeight="1" spans="1:11">
      <c r="A21" s="22">
        <v>14</v>
      </c>
      <c r="B21" s="19" t="s">
        <v>35</v>
      </c>
      <c r="C21" s="21">
        <f>ROUND([2]综合估算表!D91,2)</f>
        <v>0</v>
      </c>
      <c r="D21" s="21">
        <f>ROUND([2]综合估算表!E91,2)</f>
        <v>54.4</v>
      </c>
      <c r="E21" s="21">
        <f>ROUND([2]综合估算表!F91,2)</f>
        <v>17.18</v>
      </c>
      <c r="F21" s="21">
        <f>ROUND([2]综合估算表!G91,2)</f>
        <v>0</v>
      </c>
      <c r="G21" s="21">
        <f t="shared" si="2"/>
        <v>71.58</v>
      </c>
      <c r="H21" s="21"/>
      <c r="I21" s="19"/>
      <c r="J21" s="59"/>
      <c r="K21" s="31"/>
    </row>
    <row r="22" ht="17.1" customHeight="1" spans="1:11">
      <c r="A22" s="22" t="s">
        <v>36</v>
      </c>
      <c r="B22" s="18" t="s">
        <v>37</v>
      </c>
      <c r="C22" s="21"/>
      <c r="D22" s="21">
        <f>[2]综合估算表!E93</f>
        <v>0</v>
      </c>
      <c r="E22" s="21">
        <f>[2]综合估算表!F93</f>
        <v>4470.01</v>
      </c>
      <c r="F22" s="21"/>
      <c r="G22" s="21">
        <f t="shared" si="2"/>
        <v>4470.01</v>
      </c>
      <c r="H22" s="21"/>
      <c r="I22" s="19"/>
      <c r="J22" s="59"/>
      <c r="K22" s="31"/>
    </row>
    <row r="23" ht="17.1" customHeight="1" spans="1:11">
      <c r="A23" s="22" t="s">
        <v>38</v>
      </c>
      <c r="B23" s="18" t="s">
        <v>39</v>
      </c>
      <c r="C23" s="21">
        <f>[2]综合估算表!D95</f>
        <v>99.4</v>
      </c>
      <c r="D23" s="21"/>
      <c r="E23" s="21"/>
      <c r="F23" s="21"/>
      <c r="G23" s="21">
        <f t="shared" si="2"/>
        <v>99.4</v>
      </c>
      <c r="H23" s="21"/>
      <c r="I23" s="19"/>
      <c r="J23" s="59"/>
      <c r="K23" s="31"/>
    </row>
    <row r="24" ht="17.1" customHeight="1" spans="1:11">
      <c r="A24" s="22" t="s">
        <v>40</v>
      </c>
      <c r="B24" s="18" t="s">
        <v>41</v>
      </c>
      <c r="C24" s="21">
        <f>[2]综合估算表!D97</f>
        <v>63</v>
      </c>
      <c r="D24" s="21">
        <f>[2]综合估算表!E97</f>
        <v>134.33</v>
      </c>
      <c r="E24" s="21">
        <f>[2]综合估算表!F97</f>
        <v>0</v>
      </c>
      <c r="F24" s="21"/>
      <c r="G24" s="21">
        <f t="shared" si="2"/>
        <v>197.33</v>
      </c>
      <c r="H24" s="21"/>
      <c r="I24" s="19"/>
      <c r="J24" s="59"/>
      <c r="K24" s="31"/>
    </row>
    <row r="25" ht="17.1" customHeight="1" spans="1:11">
      <c r="A25" s="22" t="s">
        <v>42</v>
      </c>
      <c r="B25" s="18" t="s">
        <v>43</v>
      </c>
      <c r="C25" s="21">
        <f>[2]综合估算表!D101</f>
        <v>0</v>
      </c>
      <c r="D25" s="21">
        <f>[2]综合估算表!E101</f>
        <v>280.2009</v>
      </c>
      <c r="E25" s="21">
        <f>[2]综合估算表!F101</f>
        <v>134.4244</v>
      </c>
      <c r="F25" s="21">
        <f>[2]综合估算表!G101</f>
        <v>0</v>
      </c>
      <c r="G25" s="21">
        <f t="shared" si="2"/>
        <v>414.63</v>
      </c>
      <c r="H25" s="21"/>
      <c r="I25" s="19"/>
      <c r="J25" s="59"/>
      <c r="K25" s="31"/>
    </row>
    <row r="26" ht="17.1" customHeight="1" spans="1:11">
      <c r="A26" s="22"/>
      <c r="B26" s="25"/>
      <c r="C26" s="25"/>
      <c r="D26" s="25"/>
      <c r="E26" s="25"/>
      <c r="F26" s="26"/>
      <c r="G26" s="27"/>
      <c r="H26" s="21"/>
      <c r="I26" s="19"/>
      <c r="J26" s="59"/>
      <c r="K26" s="31"/>
    </row>
    <row r="27" ht="17.1" customHeight="1" spans="1:11">
      <c r="A27" s="28"/>
      <c r="B27" s="18" t="s">
        <v>44</v>
      </c>
      <c r="C27" s="29">
        <f t="shared" ref="C27:G27" si="3">ROUND(SUBTOTAL(9,C5:C26),2)</f>
        <v>3811.89</v>
      </c>
      <c r="D27" s="29">
        <f t="shared" si="3"/>
        <v>3109.62</v>
      </c>
      <c r="E27" s="29">
        <f t="shared" si="3"/>
        <v>7425.9</v>
      </c>
      <c r="F27" s="29">
        <f t="shared" si="3"/>
        <v>0</v>
      </c>
      <c r="G27" s="29">
        <f t="shared" si="3"/>
        <v>14347.42</v>
      </c>
      <c r="H27" s="29"/>
      <c r="I27" s="19"/>
      <c r="J27" s="59"/>
      <c r="K27" s="31">
        <f>G27/G58*100</f>
        <v>84.8062021918809</v>
      </c>
    </row>
    <row r="28" ht="17.1" customHeight="1" spans="1:11">
      <c r="A28" s="28"/>
      <c r="B28" s="19"/>
      <c r="C28" s="23"/>
      <c r="D28" s="23"/>
      <c r="E28" s="23"/>
      <c r="F28" s="23"/>
      <c r="G28" s="23"/>
      <c r="H28" s="23"/>
      <c r="I28" s="19"/>
      <c r="J28" s="59"/>
      <c r="K28" s="31"/>
    </row>
    <row r="29" ht="17.1" customHeight="1" spans="1:11">
      <c r="A29" s="17" t="s">
        <v>45</v>
      </c>
      <c r="B29" s="30" t="s">
        <v>46</v>
      </c>
      <c r="C29" s="31"/>
      <c r="D29" s="31"/>
      <c r="E29" s="31"/>
      <c r="F29" s="31"/>
      <c r="G29" s="31"/>
      <c r="H29" s="31"/>
      <c r="I29" s="19"/>
      <c r="J29" s="59"/>
      <c r="K29" s="31"/>
    </row>
    <row r="30" s="1" customFormat="1" ht="17.1" customHeight="1" spans="1:13">
      <c r="A30" s="22">
        <v>1</v>
      </c>
      <c r="B30" s="32" t="s">
        <v>47</v>
      </c>
      <c r="C30" s="33" t="s">
        <v>48</v>
      </c>
      <c r="D30" s="34"/>
      <c r="E30" s="35"/>
      <c r="F30" s="36">
        <v>203.77</v>
      </c>
      <c r="G30" s="36">
        <f t="shared" ref="G30:G50" si="4">F30</f>
        <v>203.77</v>
      </c>
      <c r="H30" s="36"/>
      <c r="I30" s="61"/>
      <c r="J30" s="62"/>
      <c r="K30" s="63"/>
      <c r="L30" s="64"/>
      <c r="M30" s="65"/>
    </row>
    <row r="31" s="1" customFormat="1" ht="17.1" customHeight="1" spans="1:13">
      <c r="A31" s="22">
        <v>2</v>
      </c>
      <c r="B31" s="32" t="s">
        <v>49</v>
      </c>
      <c r="C31" s="37" t="s">
        <v>50</v>
      </c>
      <c r="D31" s="38"/>
      <c r="E31" s="39"/>
      <c r="F31" s="36">
        <f>((393.4-218.6)/(20000-10000)*(G27-10000)+218.6)*0.7</f>
        <v>206.21503112</v>
      </c>
      <c r="G31" s="36">
        <f t="shared" si="4"/>
        <v>206.21503112</v>
      </c>
      <c r="H31" s="36"/>
      <c r="I31" s="61"/>
      <c r="J31" s="62"/>
      <c r="K31" s="63"/>
      <c r="L31" s="64"/>
      <c r="M31" s="65"/>
    </row>
    <row r="32" s="1" customFormat="1" ht="17.1" customHeight="1" spans="1:13">
      <c r="A32" s="22">
        <v>3</v>
      </c>
      <c r="B32" s="32" t="s">
        <v>51</v>
      </c>
      <c r="C32" s="33" t="s">
        <v>52</v>
      </c>
      <c r="D32" s="34"/>
      <c r="E32" s="35"/>
      <c r="F32" s="36">
        <f>G27*0.008</f>
        <v>114.77936</v>
      </c>
      <c r="G32" s="36">
        <f t="shared" si="4"/>
        <v>114.77936</v>
      </c>
      <c r="H32" s="36"/>
      <c r="I32" s="61"/>
      <c r="J32" s="62"/>
      <c r="K32" s="63"/>
      <c r="L32" s="66"/>
      <c r="M32" s="65"/>
    </row>
    <row r="33" s="1" customFormat="1" ht="17.1" customHeight="1" spans="1:13">
      <c r="A33" s="22">
        <v>4</v>
      </c>
      <c r="B33" s="32" t="s">
        <v>53</v>
      </c>
      <c r="C33" s="37" t="s">
        <v>54</v>
      </c>
      <c r="D33" s="38"/>
      <c r="E33" s="39"/>
      <c r="F33" s="36">
        <f>((566.8-304.8)/(20000-10000)*(G27-10000)+304.8)*1.15</f>
        <v>481.5077646</v>
      </c>
      <c r="G33" s="36">
        <f t="shared" si="4"/>
        <v>481.5077646</v>
      </c>
      <c r="H33" s="36"/>
      <c r="I33" s="61"/>
      <c r="J33" s="62"/>
      <c r="K33" s="63"/>
      <c r="L33" s="64"/>
      <c r="M33" s="65"/>
    </row>
    <row r="34" s="1" customFormat="1" ht="17.1" customHeight="1" spans="1:13">
      <c r="A34" s="22">
        <v>5</v>
      </c>
      <c r="B34" s="32" t="s">
        <v>55</v>
      </c>
      <c r="C34" s="37" t="s">
        <v>56</v>
      </c>
      <c r="D34" s="38"/>
      <c r="E34" s="39"/>
      <c r="F34" s="36">
        <f>500*0.5%+500*0.46%+4000*0.42%+5000*0.4%+(G27-10000)*0.38%</f>
        <v>58.120196</v>
      </c>
      <c r="G34" s="36">
        <f t="shared" si="4"/>
        <v>58.120196</v>
      </c>
      <c r="H34" s="36"/>
      <c r="I34" s="61"/>
      <c r="J34" s="62"/>
      <c r="K34" s="63"/>
      <c r="L34" s="64"/>
      <c r="M34" s="65"/>
    </row>
    <row r="35" s="1" customFormat="1" ht="17.1" customHeight="1" spans="1:13">
      <c r="A35" s="22">
        <v>6</v>
      </c>
      <c r="B35" s="32" t="s">
        <v>57</v>
      </c>
      <c r="C35" s="40" t="s">
        <v>58</v>
      </c>
      <c r="D35" s="41"/>
      <c r="E35" s="42"/>
      <c r="F35" s="36">
        <f>ROUND((100*0.17%+400*0.14%+500*0.11%+4000*0.08%+5000*0.06%+(G27-10000)*0.03%)*1,2)</f>
        <v>8.78</v>
      </c>
      <c r="G35" s="36">
        <f t="shared" si="4"/>
        <v>8.78</v>
      </c>
      <c r="H35" s="36"/>
      <c r="I35" s="61"/>
      <c r="J35" s="62"/>
      <c r="K35" s="63"/>
      <c r="L35" s="64"/>
      <c r="M35" s="65"/>
    </row>
    <row r="36" s="1" customFormat="1" ht="17.1" customHeight="1" spans="1:13">
      <c r="A36" s="22">
        <v>7</v>
      </c>
      <c r="B36" s="32" t="s">
        <v>59</v>
      </c>
      <c r="C36" s="33" t="s">
        <v>60</v>
      </c>
      <c r="D36" s="34"/>
      <c r="E36" s="35"/>
      <c r="F36" s="36">
        <f>G32*0.035</f>
        <v>4.0172776</v>
      </c>
      <c r="G36" s="36">
        <f t="shared" si="4"/>
        <v>4.0172776</v>
      </c>
      <c r="H36" s="36"/>
      <c r="I36" s="61"/>
      <c r="J36" s="62"/>
      <c r="K36" s="63"/>
      <c r="L36" s="64"/>
      <c r="M36" s="65"/>
    </row>
    <row r="37" s="1" customFormat="1" ht="17.1" customHeight="1" spans="1:13">
      <c r="A37" s="22">
        <v>8</v>
      </c>
      <c r="B37" s="32" t="s">
        <v>61</v>
      </c>
      <c r="C37" s="33" t="s">
        <v>62</v>
      </c>
      <c r="D37" s="34"/>
      <c r="E37" s="35"/>
      <c r="F37" s="36">
        <f>D27*0.01</f>
        <v>31.0962</v>
      </c>
      <c r="G37" s="36">
        <f t="shared" si="4"/>
        <v>31.0962</v>
      </c>
      <c r="H37" s="36"/>
      <c r="I37" s="61"/>
      <c r="J37" s="62"/>
      <c r="K37" s="63"/>
      <c r="L37" s="64"/>
      <c r="M37" s="65"/>
    </row>
    <row r="38" s="1" customFormat="1" ht="17.1" customHeight="1" spans="1:13">
      <c r="A38" s="22">
        <v>9</v>
      </c>
      <c r="B38" s="32" t="s">
        <v>63</v>
      </c>
      <c r="C38" s="33" t="s">
        <v>64</v>
      </c>
      <c r="D38" s="34"/>
      <c r="E38" s="35"/>
      <c r="F38" s="36">
        <f>17*0.6*6*0.2</f>
        <v>12.24</v>
      </c>
      <c r="G38" s="36">
        <f t="shared" si="4"/>
        <v>12.24</v>
      </c>
      <c r="H38" s="36"/>
      <c r="I38" s="61"/>
      <c r="J38" s="62"/>
      <c r="K38" s="63"/>
      <c r="L38" s="64"/>
      <c r="M38" s="65"/>
    </row>
    <row r="39" s="1" customFormat="1" ht="17.1" customHeight="1" spans="1:13">
      <c r="A39" s="22">
        <v>10</v>
      </c>
      <c r="B39" s="32" t="s">
        <v>65</v>
      </c>
      <c r="C39" s="33" t="s">
        <v>66</v>
      </c>
      <c r="D39" s="34"/>
      <c r="E39" s="35"/>
      <c r="F39" s="36">
        <f>ROUND(17*0.2,2)</f>
        <v>3.4</v>
      </c>
      <c r="G39" s="36">
        <f t="shared" si="4"/>
        <v>3.4</v>
      </c>
      <c r="H39" s="36"/>
      <c r="I39" s="61"/>
      <c r="J39" s="62"/>
      <c r="K39" s="63"/>
      <c r="L39" s="64"/>
      <c r="M39" s="65"/>
    </row>
    <row r="40" s="1" customFormat="1" ht="34" customHeight="1" spans="1:13">
      <c r="A40" s="22">
        <v>11</v>
      </c>
      <c r="B40" s="32" t="s">
        <v>67</v>
      </c>
      <c r="C40" s="43" t="s">
        <v>68</v>
      </c>
      <c r="D40" s="44"/>
      <c r="E40" s="45"/>
      <c r="F40" s="36">
        <v>32.76</v>
      </c>
      <c r="G40" s="36">
        <f t="shared" si="4"/>
        <v>32.76</v>
      </c>
      <c r="H40" s="36"/>
      <c r="I40" s="61"/>
      <c r="J40" s="62"/>
      <c r="K40" s="63"/>
      <c r="L40" s="64"/>
      <c r="M40" s="65"/>
    </row>
    <row r="41" s="1" customFormat="1" ht="15.75" customHeight="1" spans="1:14">
      <c r="A41" s="22">
        <v>12</v>
      </c>
      <c r="B41" s="32" t="s">
        <v>69</v>
      </c>
      <c r="C41" s="46" t="s">
        <v>70</v>
      </c>
      <c r="D41" s="47"/>
      <c r="E41" s="48"/>
      <c r="F41" s="36">
        <v>15.85</v>
      </c>
      <c r="G41" s="36">
        <f t="shared" si="4"/>
        <v>15.85</v>
      </c>
      <c r="H41" s="36"/>
      <c r="I41" s="61"/>
      <c r="J41" s="62"/>
      <c r="K41" s="63"/>
      <c r="M41" s="65"/>
      <c r="N41" s="65"/>
    </row>
    <row r="42" s="1" customFormat="1" ht="15.75" customHeight="1" spans="1:14">
      <c r="A42" s="22">
        <v>13</v>
      </c>
      <c r="B42" s="32" t="s">
        <v>71</v>
      </c>
      <c r="C42" s="33" t="s">
        <v>72</v>
      </c>
      <c r="D42" s="34"/>
      <c r="E42" s="35"/>
      <c r="F42" s="36">
        <f>G27*0.003</f>
        <v>43.04226</v>
      </c>
      <c r="G42" s="36">
        <f t="shared" si="4"/>
        <v>43.04226</v>
      </c>
      <c r="H42" s="36"/>
      <c r="I42" s="61"/>
      <c r="J42" s="62"/>
      <c r="K42" s="63"/>
      <c r="M42" s="65"/>
      <c r="N42" s="65"/>
    </row>
    <row r="43" s="1" customFormat="1" ht="15.75" customHeight="1" spans="1:14">
      <c r="A43" s="22">
        <v>14</v>
      </c>
      <c r="B43" s="32" t="s">
        <v>73</v>
      </c>
      <c r="C43" s="33" t="s">
        <v>74</v>
      </c>
      <c r="D43" s="34"/>
      <c r="E43" s="35"/>
      <c r="F43" s="36">
        <f>ROUND(G27*0.005,2)</f>
        <v>71.74</v>
      </c>
      <c r="G43" s="36">
        <f t="shared" si="4"/>
        <v>71.74</v>
      </c>
      <c r="H43" s="36"/>
      <c r="I43" s="61"/>
      <c r="J43" s="62"/>
      <c r="K43" s="63"/>
      <c r="L43" s="67"/>
      <c r="M43" s="65"/>
      <c r="N43" s="65"/>
    </row>
    <row r="44" s="1" customFormat="1" ht="17.1" customHeight="1" spans="1:14">
      <c r="A44" s="22">
        <v>15</v>
      </c>
      <c r="B44" s="32" t="s">
        <v>75</v>
      </c>
      <c r="C44" s="33" t="s">
        <v>72</v>
      </c>
      <c r="D44" s="34"/>
      <c r="E44" s="35"/>
      <c r="F44" s="36">
        <f>ROUND(G27*0.003,2)</f>
        <v>43.04</v>
      </c>
      <c r="G44" s="36">
        <f t="shared" si="4"/>
        <v>43.04</v>
      </c>
      <c r="H44" s="36"/>
      <c r="I44" s="61"/>
      <c r="J44" s="62"/>
      <c r="K44" s="63"/>
      <c r="L44" s="66"/>
      <c r="M44" s="65"/>
      <c r="N44" s="65"/>
    </row>
    <row r="45" s="1" customFormat="1" ht="17.1" customHeight="1" spans="1:13">
      <c r="A45" s="22">
        <v>16</v>
      </c>
      <c r="B45" s="32" t="s">
        <v>76</v>
      </c>
      <c r="C45" s="40" t="s">
        <v>77</v>
      </c>
      <c r="D45" s="41"/>
      <c r="E45" s="42"/>
      <c r="F45" s="36">
        <f>100*1%+400*0.7%+500*0.55%+4000*0.35%+5000*0.2%+(G27-10000)*0.05%</f>
        <v>32.72371</v>
      </c>
      <c r="G45" s="36">
        <f t="shared" si="4"/>
        <v>32.72371</v>
      </c>
      <c r="H45" s="36"/>
      <c r="I45" s="61"/>
      <c r="J45" s="62"/>
      <c r="K45" s="63"/>
      <c r="M45" s="65"/>
    </row>
    <row r="46" s="1" customFormat="1" ht="17.1" customHeight="1" spans="1:13">
      <c r="A46" s="22">
        <v>17</v>
      </c>
      <c r="B46" s="32" t="s">
        <v>78</v>
      </c>
      <c r="C46" s="40" t="s">
        <v>79</v>
      </c>
      <c r="D46" s="41"/>
      <c r="E46" s="42"/>
      <c r="F46" s="36">
        <f>(500*0.5%+500*0.46%+4000*0.42%+5000*0.4%+(G27-10000)*0.38%)*1.2</f>
        <v>69.7442352</v>
      </c>
      <c r="G46" s="36">
        <f t="shared" si="4"/>
        <v>69.7442352</v>
      </c>
      <c r="H46" s="36"/>
      <c r="I46" s="61"/>
      <c r="J46" s="62"/>
      <c r="K46" s="63"/>
      <c r="M46" s="65"/>
    </row>
    <row r="47" s="1" customFormat="1" ht="17.1" customHeight="1" spans="1:13">
      <c r="A47" s="22">
        <v>18</v>
      </c>
      <c r="B47" s="32" t="s">
        <v>80</v>
      </c>
      <c r="C47" s="33" t="s">
        <v>81</v>
      </c>
      <c r="D47" s="34"/>
      <c r="E47" s="35"/>
      <c r="F47" s="36">
        <f>2.5*0.4</f>
        <v>1</v>
      </c>
      <c r="G47" s="36">
        <f t="shared" si="4"/>
        <v>1</v>
      </c>
      <c r="H47" s="36"/>
      <c r="I47" s="61"/>
      <c r="J47" s="62"/>
      <c r="K47" s="63"/>
      <c r="M47" s="65"/>
    </row>
    <row r="48" s="1" customFormat="1" ht="17.1" customHeight="1" spans="1:13">
      <c r="A48" s="22">
        <v>19</v>
      </c>
      <c r="B48" s="32" t="s">
        <v>82</v>
      </c>
      <c r="C48" s="33" t="s">
        <v>83</v>
      </c>
      <c r="D48" s="34" t="s">
        <v>84</v>
      </c>
      <c r="E48" s="35"/>
      <c r="F48" s="36">
        <f>21811.86*1/10000</f>
        <v>2.181186</v>
      </c>
      <c r="G48" s="36">
        <f t="shared" si="4"/>
        <v>2.181186</v>
      </c>
      <c r="H48" s="36"/>
      <c r="I48" s="61"/>
      <c r="J48" s="62"/>
      <c r="K48" s="63"/>
      <c r="M48" s="65"/>
    </row>
    <row r="49" s="1" customFormat="1" ht="17.1" customHeight="1" spans="1:13">
      <c r="A49" s="22">
        <v>20</v>
      </c>
      <c r="B49" s="32" t="s">
        <v>85</v>
      </c>
      <c r="C49" s="33" t="s">
        <v>86</v>
      </c>
      <c r="D49" s="34" t="s">
        <v>87</v>
      </c>
      <c r="E49" s="35"/>
      <c r="F49" s="36">
        <f>24.99*0.1624</f>
        <v>4.058376</v>
      </c>
      <c r="G49" s="36">
        <f t="shared" si="4"/>
        <v>4.058376</v>
      </c>
      <c r="H49" s="36"/>
      <c r="I49" s="61"/>
      <c r="J49" s="62"/>
      <c r="K49" s="63"/>
      <c r="M49" s="65"/>
    </row>
    <row r="50" s="1" customFormat="1" ht="17.1" customHeight="1" spans="1:13">
      <c r="A50" s="22">
        <v>21</v>
      </c>
      <c r="B50" s="32" t="s">
        <v>88</v>
      </c>
      <c r="C50" s="33" t="s">
        <v>60</v>
      </c>
      <c r="D50" s="34"/>
      <c r="E50" s="35"/>
      <c r="F50" s="36">
        <f>G32*0.035</f>
        <v>4.0172776</v>
      </c>
      <c r="G50" s="36">
        <f t="shared" si="4"/>
        <v>4.0172776</v>
      </c>
      <c r="H50" s="36"/>
      <c r="I50" s="61"/>
      <c r="J50" s="62"/>
      <c r="K50" s="63"/>
      <c r="M50" s="65"/>
    </row>
    <row r="51" s="1" customFormat="1" ht="17.1" customHeight="1" spans="1:13">
      <c r="A51" s="22"/>
      <c r="B51" s="32"/>
      <c r="C51" s="33"/>
      <c r="D51" s="34"/>
      <c r="E51" s="35"/>
      <c r="F51" s="36"/>
      <c r="G51" s="36"/>
      <c r="H51" s="36"/>
      <c r="I51" s="61"/>
      <c r="J51" s="62"/>
      <c r="K51" s="63"/>
      <c r="M51" s="65"/>
    </row>
    <row r="52" ht="17.1" customHeight="1" spans="1:13">
      <c r="A52" s="28"/>
      <c r="B52" s="18" t="s">
        <v>89</v>
      </c>
      <c r="C52" s="29"/>
      <c r="D52" s="29"/>
      <c r="E52" s="29"/>
      <c r="F52" s="29">
        <f>ROUND(SUBTOTAL(9,F30:F51),2)</f>
        <v>1444.08</v>
      </c>
      <c r="G52" s="29">
        <f>ROUND(SUBTOTAL(9,G30:G51),2)</f>
        <v>1444.08</v>
      </c>
      <c r="H52" s="29"/>
      <c r="I52" s="19"/>
      <c r="J52" s="59"/>
      <c r="K52" s="31">
        <f>G52/G58*100</f>
        <v>8.53581622767378</v>
      </c>
      <c r="L52" s="4"/>
      <c r="M52" s="68"/>
    </row>
    <row r="53" ht="17.1" customHeight="1" spans="1:13">
      <c r="A53" s="28"/>
      <c r="B53" s="18" t="s">
        <v>90</v>
      </c>
      <c r="C53" s="29">
        <f t="shared" ref="C53:G53" si="5">ROUND(SUBTOTAL(9,C5:C52),2)</f>
        <v>3811.89</v>
      </c>
      <c r="D53" s="29">
        <f t="shared" si="5"/>
        <v>3109.62</v>
      </c>
      <c r="E53" s="29">
        <f t="shared" si="5"/>
        <v>7425.9</v>
      </c>
      <c r="F53" s="29">
        <f t="shared" si="5"/>
        <v>1444.08</v>
      </c>
      <c r="G53" s="29">
        <f t="shared" si="5"/>
        <v>15791.5</v>
      </c>
      <c r="H53" s="29"/>
      <c r="I53" s="19"/>
      <c r="J53" s="59"/>
      <c r="K53" s="31"/>
      <c r="M53" s="68"/>
    </row>
    <row r="54" ht="17.1" customHeight="1" spans="1:13">
      <c r="A54" s="28" t="s">
        <v>91</v>
      </c>
      <c r="B54" s="30" t="s">
        <v>92</v>
      </c>
      <c r="C54" s="29"/>
      <c r="D54" s="29"/>
      <c r="E54" s="29"/>
      <c r="F54" s="29">
        <f>ROUND(G53*0.05,2)</f>
        <v>789.58</v>
      </c>
      <c r="G54" s="29">
        <f t="shared" ref="G54:G57" si="6">F54</f>
        <v>789.58</v>
      </c>
      <c r="H54" s="29"/>
      <c r="I54" s="19"/>
      <c r="J54" s="59"/>
      <c r="K54" s="31">
        <f>G54/G58*100</f>
        <v>4.66713047549074</v>
      </c>
      <c r="L54" s="69"/>
      <c r="M54" s="68"/>
    </row>
    <row r="55" ht="17.1" customHeight="1" spans="1:13">
      <c r="A55" s="28"/>
      <c r="B55" s="19"/>
      <c r="C55" s="31"/>
      <c r="D55" s="31"/>
      <c r="E55" s="31"/>
      <c r="F55" s="31"/>
      <c r="G55" s="31"/>
      <c r="H55" s="31"/>
      <c r="I55" s="19"/>
      <c r="J55" s="59"/>
      <c r="K55" s="31">
        <f>G55/G58*100</f>
        <v>0</v>
      </c>
      <c r="L55" s="69"/>
      <c r="M55" s="68"/>
    </row>
    <row r="56" ht="17.1" customHeight="1" spans="1:13">
      <c r="A56" s="28" t="s">
        <v>93</v>
      </c>
      <c r="B56" s="30" t="s">
        <v>94</v>
      </c>
      <c r="C56" s="29"/>
      <c r="D56" s="29"/>
      <c r="E56" s="29"/>
      <c r="F56" s="49">
        <v>294.37</v>
      </c>
      <c r="G56" s="49">
        <f t="shared" si="6"/>
        <v>294.37</v>
      </c>
      <c r="H56" s="49"/>
      <c r="I56" s="19"/>
      <c r="J56" s="59"/>
      <c r="K56" s="31">
        <f>G56/G58*100</f>
        <v>1.73999239857926</v>
      </c>
      <c r="M56" s="68"/>
    </row>
    <row r="57" ht="17.1" customHeight="1" spans="1:13">
      <c r="A57" s="28" t="s">
        <v>95</v>
      </c>
      <c r="B57" s="30" t="s">
        <v>96</v>
      </c>
      <c r="C57" s="29"/>
      <c r="D57" s="29"/>
      <c r="E57" s="29"/>
      <c r="F57" s="49">
        <v>42.44</v>
      </c>
      <c r="G57" s="49">
        <f t="shared" si="6"/>
        <v>42.44</v>
      </c>
      <c r="H57" s="50"/>
      <c r="I57" s="19"/>
      <c r="J57" s="59"/>
      <c r="K57" s="31">
        <f>G57/G58*100</f>
        <v>0.250858706375322</v>
      </c>
      <c r="M57" s="68"/>
    </row>
    <row r="58" ht="17.1" customHeight="1" spans="1:11">
      <c r="A58" s="28" t="s">
        <v>97</v>
      </c>
      <c r="B58" s="30" t="s">
        <v>98</v>
      </c>
      <c r="C58" s="29">
        <f t="shared" ref="C58:G58" si="7">ROUND(SUBTOTAL(9,C5:C57),2)</f>
        <v>3811.89</v>
      </c>
      <c r="D58" s="29">
        <f t="shared" si="7"/>
        <v>3109.62</v>
      </c>
      <c r="E58" s="29">
        <f t="shared" si="7"/>
        <v>7425.9</v>
      </c>
      <c r="F58" s="29">
        <f t="shared" si="7"/>
        <v>2570.47</v>
      </c>
      <c r="G58" s="29">
        <f t="shared" si="7"/>
        <v>16917.89</v>
      </c>
      <c r="H58" s="29"/>
      <c r="I58" s="20"/>
      <c r="J58" s="59"/>
      <c r="K58" s="31">
        <f>SUM(K22:K57)</f>
        <v>100</v>
      </c>
    </row>
    <row r="59" ht="17.1" customHeight="1" spans="1:11">
      <c r="A59" s="28"/>
      <c r="B59" s="19"/>
      <c r="C59" s="31"/>
      <c r="D59" s="31"/>
      <c r="E59" s="31"/>
      <c r="F59" s="31"/>
      <c r="G59" s="31"/>
      <c r="H59" s="31"/>
      <c r="I59" s="19"/>
      <c r="J59" s="59"/>
      <c r="K59" s="31"/>
    </row>
    <row r="60" ht="17.1" customHeight="1" spans="1:11">
      <c r="A60" s="28"/>
      <c r="B60" s="19" t="s">
        <v>99</v>
      </c>
      <c r="C60" s="31">
        <f>C58/G58*100</f>
        <v>22.5317105147273</v>
      </c>
      <c r="D60" s="31">
        <f>D58/G58*100</f>
        <v>18.380660945307</v>
      </c>
      <c r="E60" s="31">
        <f>E58/G58*100</f>
        <v>43.8937716228206</v>
      </c>
      <c r="F60" s="31">
        <f>F58/G58*100</f>
        <v>15.1937978081191</v>
      </c>
      <c r="G60" s="31">
        <f>SUM(C60:F60)</f>
        <v>99.999940890974</v>
      </c>
      <c r="H60" s="31"/>
      <c r="I60" s="19"/>
      <c r="J60" s="59"/>
      <c r="K60" s="31"/>
    </row>
    <row r="61" ht="17.1" customHeight="1" spans="1:11">
      <c r="A61" s="28"/>
      <c r="B61" s="19"/>
      <c r="C61" s="31"/>
      <c r="D61" s="31"/>
      <c r="E61" s="31"/>
      <c r="F61" s="31"/>
      <c r="G61" s="31"/>
      <c r="H61" s="31"/>
      <c r="I61" s="19"/>
      <c r="J61" s="59"/>
      <c r="K61" s="31"/>
    </row>
    <row r="67" ht="18.75" spans="2:2">
      <c r="B67" s="70"/>
    </row>
    <row r="68" ht="18.75" spans="2:2">
      <c r="B68" s="71"/>
    </row>
  </sheetData>
  <mergeCells count="25">
    <mergeCell ref="A1:K1"/>
    <mergeCell ref="C2:G2"/>
    <mergeCell ref="H2:J2"/>
    <mergeCell ref="H3:I3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A2:A3"/>
    <mergeCell ref="B2:B3"/>
    <mergeCell ref="K2:K3"/>
  </mergeCells>
  <pageMargins left="0.92" right="0.551181102362205" top="0.76" bottom="0.66" header="0.511811023622047" footer="0.27"/>
  <pageSetup paperSize="9" orientation="landscape" horizontalDpi="180" verticalDpi="18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总概算书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徐小平</dc:creator>
  <cp:lastModifiedBy>geyan</cp:lastModifiedBy>
  <dcterms:created xsi:type="dcterms:W3CDTF">2023-11-02T02:27:00Z</dcterms:created>
  <dcterms:modified xsi:type="dcterms:W3CDTF">2023-11-14T08:34:10Z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FC3EEF543E02423DB504AAACB3E1B734_13</vt:lpwstr>
  </property>
  <property fmtid="{D5CDD505-2E9C-101B-9397-08002B2CF9AE}" pid="3" name="KSOProductBuildVer">
    <vt:lpwstr>2052-12.1.0.15712</vt:lpwstr>
  </property>
</Properties>
</file>